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alkulation SpDi KA 1-4 neu" sheetId="4" r:id="rId1"/>
  </sheets>
  <calcPr calcId="145621"/>
</workbook>
</file>

<file path=xl/calcChain.xml><?xml version="1.0" encoding="utf-8"?>
<calcChain xmlns="http://schemas.openxmlformats.org/spreadsheetml/2006/main">
  <c r="I31" i="4" l="1"/>
  <c r="C25" i="4" l="1"/>
  <c r="E10" i="4" l="1"/>
  <c r="C10" i="4"/>
  <c r="B10" i="4"/>
  <c r="H8" i="4"/>
  <c r="B13" i="4"/>
  <c r="G63" i="4"/>
  <c r="F63" i="4"/>
  <c r="E63" i="4"/>
  <c r="D63" i="4"/>
  <c r="C63" i="4"/>
  <c r="B63" i="4"/>
  <c r="G33" i="4"/>
  <c r="F33" i="4"/>
  <c r="H31" i="4"/>
  <c r="E13" i="4"/>
  <c r="D13" i="4"/>
  <c r="C13" i="4"/>
  <c r="D10" i="4"/>
  <c r="H5" i="4"/>
  <c r="E5" i="4"/>
  <c r="D5" i="4"/>
  <c r="C5" i="4"/>
  <c r="B5" i="4"/>
  <c r="F3" i="4"/>
  <c r="F7" i="4" s="1"/>
  <c r="D14" i="4" l="1"/>
  <c r="D15" i="4" s="1"/>
  <c r="D21" i="4" s="1"/>
  <c r="D22" i="4" s="1"/>
  <c r="F5" i="4"/>
  <c r="F4" i="4" s="1"/>
  <c r="E14" i="4"/>
  <c r="E15" i="4" s="1"/>
  <c r="E21" i="4" s="1"/>
  <c r="E22" i="4" s="1"/>
  <c r="E24" i="4" s="1"/>
  <c r="E26" i="4" s="1"/>
  <c r="C14" i="4"/>
  <c r="C15" i="4" s="1"/>
  <c r="C21" i="4" s="1"/>
  <c r="C22" i="4" s="1"/>
  <c r="C24" i="4" s="1"/>
  <c r="B14" i="4"/>
  <c r="B15" i="4" s="1"/>
  <c r="B21" i="4" s="1"/>
  <c r="H9" i="4"/>
  <c r="H25" i="4" s="1"/>
  <c r="I25" i="4" s="1"/>
  <c r="F36" i="4"/>
  <c r="F35" i="4"/>
  <c r="F51" i="4" s="1"/>
  <c r="G35" i="4"/>
  <c r="G51" i="4" s="1"/>
  <c r="C26" i="4" l="1"/>
  <c r="C28" i="4" s="1"/>
  <c r="D24" i="4"/>
  <c r="D26" i="4" s="1"/>
  <c r="E33" i="4"/>
  <c r="E35" i="4" s="1"/>
  <c r="E27" i="4"/>
  <c r="E28" i="4"/>
  <c r="H21" i="4"/>
  <c r="I21" i="4" s="1"/>
  <c r="B22" i="4"/>
  <c r="F37" i="4"/>
  <c r="G36" i="4"/>
  <c r="C33" i="4" l="1"/>
  <c r="C35" i="4" s="1"/>
  <c r="C51" i="4" s="1"/>
  <c r="C27" i="4"/>
  <c r="E51" i="4"/>
  <c r="E36" i="4"/>
  <c r="D33" i="4"/>
  <c r="D35" i="4" s="1"/>
  <c r="F50" i="4"/>
  <c r="F49" i="4"/>
  <c r="F48" i="4"/>
  <c r="F47" i="4"/>
  <c r="F46" i="4"/>
  <c r="B24" i="4"/>
  <c r="H24" i="4" s="1"/>
  <c r="I24" i="4" s="1"/>
  <c r="H22" i="4"/>
  <c r="I22" i="4" s="1"/>
  <c r="G37" i="4"/>
  <c r="C36" i="4" l="1"/>
  <c r="C37" i="4" s="1"/>
  <c r="B26" i="4"/>
  <c r="H26" i="4" s="1"/>
  <c r="D51" i="4"/>
  <c r="D36" i="4"/>
  <c r="E37" i="4"/>
  <c r="G50" i="4"/>
  <c r="G49" i="4"/>
  <c r="G48" i="4"/>
  <c r="G47" i="4"/>
  <c r="G46" i="4"/>
  <c r="F52" i="4"/>
  <c r="B27" i="4" l="1"/>
  <c r="B33" i="4"/>
  <c r="H33" i="4" s="1"/>
  <c r="I33" i="4" s="1"/>
  <c r="B28" i="4"/>
  <c r="E50" i="4"/>
  <c r="E49" i="4"/>
  <c r="E48" i="4"/>
  <c r="E47" i="4"/>
  <c r="E46" i="4"/>
  <c r="C50" i="4"/>
  <c r="C49" i="4"/>
  <c r="C48" i="4"/>
  <c r="C47" i="4"/>
  <c r="C46" i="4"/>
  <c r="D37" i="4"/>
  <c r="G52" i="4"/>
  <c r="I26" i="4"/>
  <c r="H28" i="4"/>
  <c r="H27" i="4"/>
  <c r="B35" i="4" l="1"/>
  <c r="B51" i="4" s="1"/>
  <c r="H51" i="4" s="1"/>
  <c r="I51" i="4" s="1"/>
  <c r="C52" i="4"/>
  <c r="D50" i="4"/>
  <c r="D49" i="4"/>
  <c r="D48" i="4"/>
  <c r="D47" i="4"/>
  <c r="D46" i="4"/>
  <c r="E52" i="4"/>
  <c r="B36" i="4" l="1"/>
  <c r="B37" i="4" s="1"/>
  <c r="H35" i="4"/>
  <c r="I35" i="4" s="1"/>
  <c r="D52" i="4"/>
  <c r="H36" i="4" l="1"/>
  <c r="I36" i="4" s="1"/>
  <c r="B50" i="4"/>
  <c r="H50" i="4" s="1"/>
  <c r="I50" i="4" s="1"/>
  <c r="B49" i="4"/>
  <c r="H49" i="4" s="1"/>
  <c r="I49" i="4" s="1"/>
  <c r="B48" i="4"/>
  <c r="H48" i="4" s="1"/>
  <c r="I48" i="4" s="1"/>
  <c r="B47" i="4"/>
  <c r="H47" i="4" s="1"/>
  <c r="I47" i="4" s="1"/>
  <c r="B46" i="4"/>
  <c r="H37" i="4" l="1"/>
  <c r="B52" i="4"/>
  <c r="H52" i="4" s="1"/>
  <c r="H46" i="4"/>
  <c r="I46" i="4" s="1"/>
  <c r="I52" i="4" l="1"/>
  <c r="F39" i="4" l="1"/>
  <c r="F41" i="4" s="1"/>
  <c r="G39" i="4"/>
  <c r="G40" i="4" s="1"/>
  <c r="H40" i="4" s="1"/>
  <c r="I40" i="4" s="1"/>
  <c r="E39" i="4"/>
  <c r="E42" i="4" s="1"/>
  <c r="H42" i="4" s="1"/>
  <c r="I42" i="4" s="1"/>
  <c r="C39" i="4"/>
  <c r="C41" i="4" s="1"/>
  <c r="D39" i="4"/>
  <c r="D41" i="4" s="1"/>
  <c r="B39" i="4"/>
  <c r="B41" i="4" s="1"/>
  <c r="H39" i="4"/>
  <c r="I39" i="4" s="1"/>
  <c r="H41" i="4" l="1"/>
  <c r="I41" i="4" s="1"/>
</calcChain>
</file>

<file path=xl/sharedStrings.xml><?xml version="1.0" encoding="utf-8"?>
<sst xmlns="http://schemas.openxmlformats.org/spreadsheetml/2006/main" count="105" uniqueCount="79">
  <si>
    <t xml:space="preserve">Fälle pro Quartal </t>
  </si>
  <si>
    <t>Summe</t>
  </si>
  <si>
    <t>Zahlen pro 100.000 Einwohner</t>
  </si>
  <si>
    <t>Summe VZÄ</t>
  </si>
  <si>
    <t>VZÄ Verwaltungskräfte</t>
  </si>
  <si>
    <t>Umfang des erforderlichen Personals für die Fallarbeit</t>
  </si>
  <si>
    <t>Kalkulation der Inanspruchnahme in der Fallarbeit</t>
  </si>
  <si>
    <t>Kalkulation des Zeitaufwands in der Fallarbeit</t>
  </si>
  <si>
    <t>Anteil Hausbesuche (HB) an Kontakten pro Quartal</t>
  </si>
  <si>
    <t>durchschnittliche Fahrzeit in Min. pro HB (Hin- u. Rückfahrt)</t>
  </si>
  <si>
    <t>Zuschlag für Fahrzeiten bei HB pro Fall und Quartal in Min.</t>
  </si>
  <si>
    <t>Umfang des zusätzlich erforderlichen Personals</t>
  </si>
  <si>
    <t>Zuschlag für Leitungsfunktionen</t>
  </si>
  <si>
    <t>Zuschlag für Verwaltungsfunktionen</t>
  </si>
  <si>
    <t>empfohlener Berufsgruppenmix im GPZ pro 100.000 Einw.</t>
  </si>
  <si>
    <t>VZÄ ärztlicher Dienst (ÄD)</t>
  </si>
  <si>
    <t>VZÄ psychologischer Dienst PD)</t>
  </si>
  <si>
    <t>VZÄ Funktionsdienst Krankenpflege (FD)</t>
  </si>
  <si>
    <t>VZÄ sozialarbeiterischer /sozialpädagogischer Dienst (SD)</t>
  </si>
  <si>
    <t>VZÄ Ergotherapie (ET)</t>
  </si>
  <si>
    <t>VZÄ Verwaltungsdienst (VD)</t>
  </si>
  <si>
    <t>Kalkulation der Arbeitszeit</t>
  </si>
  <si>
    <t>zusätzlicher Zeitaufwand für Teamkonferenzen</t>
  </si>
  <si>
    <t>VZÄ Zuschlag für Teamkonferenzen</t>
  </si>
  <si>
    <t>VZÄ Zuschlag für mobile Notfallbereitschaft</t>
  </si>
  <si>
    <t>Faktor zur Abdeckung der Dienstzeiten</t>
  </si>
  <si>
    <t>Arbeitstage pro VZÄ in der Woche</t>
  </si>
  <si>
    <t>VZÄ-Arbeitsstunden im Jahr</t>
  </si>
  <si>
    <t>Kalkulation Zahl der Werktage im Jahr</t>
  </si>
  <si>
    <t>Einsatzstunden im Jahr</t>
  </si>
  <si>
    <t>Zeitdauer der NF-Bereitschaft pro Tag</t>
  </si>
  <si>
    <t>Fallzahlbelastung (Patienten im Quartal pro VZÄ)</t>
  </si>
  <si>
    <t>VZÄ für Leitungsfunktionen</t>
  </si>
  <si>
    <t>VZÄ für nicht-Pat.-bez. Leistungen (Verbundarbeit, Kontaktstelle)</t>
  </si>
  <si>
    <t>VZÄ Pat.-bez. Leistungen incl. NF-Ber. und Teamkonf.</t>
  </si>
  <si>
    <t>Einwohnerzahl (100 Tsd.)</t>
  </si>
  <si>
    <t>Werte für eine bestimmte  Kommune</t>
  </si>
  <si>
    <t>freiwillige Leistungen der Kommune</t>
  </si>
  <si>
    <t>Pflichtleistungen der Kommune nach PsychKG</t>
  </si>
  <si>
    <t>Leistungen des Sozialhilfeträgers und ggf. anderer Kostenträger</t>
  </si>
  <si>
    <t>VZÄ für eine bestimmte  Kommune</t>
  </si>
  <si>
    <t>VZÄ für direkte und indirekte Leistungen in der Fallarbeit</t>
  </si>
  <si>
    <t>BPK Berufsgruppenmix pro VZÄ</t>
  </si>
  <si>
    <t>Summe jährliche Bruttopersonalkosten in Tsd. €</t>
  </si>
  <si>
    <t>Zuschlag für Stunden NF-Bereitschaft</t>
  </si>
  <si>
    <t>Bruttopersonalkosten/Jahr (BPK) in Tsd. €</t>
  </si>
  <si>
    <t>Berufsgruppen</t>
  </si>
  <si>
    <t>ärztlicher Dienst (ÄD)</t>
  </si>
  <si>
    <t>psychologischer Dienst PD)</t>
  </si>
  <si>
    <t>Funktionsdienst Krankenpflege (FD)</t>
  </si>
  <si>
    <t>sozialarbeiterischer /sozialpädagogischer Dienst (SD)</t>
  </si>
  <si>
    <t>Ergotherapie (ET)</t>
  </si>
  <si>
    <t>Verwaltungsdienst (VD)</t>
  </si>
  <si>
    <t>Summe VZÄ Fall- und Verbundarbeit, Leitung mit Verwaltung</t>
  </si>
  <si>
    <t>Summe VZÄ Fall- und Verbundarbeit, Leitung ohne Verwaltung</t>
  </si>
  <si>
    <t>Berufsgruppenmix der Fachkräfte nach Kernaufgaben</t>
  </si>
  <si>
    <t>Summe Berufsgruppenmix Fachkräfte</t>
  </si>
  <si>
    <t>ohne GB</t>
  </si>
  <si>
    <t>Patienten pro VZÄ Fachkraft im Jahr</t>
  </si>
  <si>
    <t>Betreuungsdauer  (Quartale pro Jahr)</t>
  </si>
  <si>
    <t>Fälle pro Jahr</t>
  </si>
  <si>
    <t>Leistungsbündel pro Quartal</t>
  </si>
  <si>
    <t>Minuten (Min.) pro Leistungsbündel für alle beteiligten Fachkräfte</t>
  </si>
  <si>
    <t>KA 2</t>
  </si>
  <si>
    <t>KA 1</t>
  </si>
  <si>
    <t>KA 1 GB</t>
  </si>
  <si>
    <t>KA 3</t>
  </si>
  <si>
    <t>KA 4</t>
  </si>
  <si>
    <t>AF 12</t>
  </si>
  <si>
    <t>Einsatzstunden pro Tag</t>
  </si>
  <si>
    <t>Mitarbeiter pro Kontakt (nur Gruppenbetreuung GB)</t>
  </si>
  <si>
    <t>Min. pro Fall im Quartal (direkte und indirekte Leistungen)</t>
  </si>
  <si>
    <t>Min. fallbezogene Leistungen pro Quartal</t>
  </si>
  <si>
    <t>Stunden fallbezogene Leistungen pro Quartal</t>
  </si>
  <si>
    <t>Summe Stunden pro Jahr fallbezogene Leistungen</t>
  </si>
  <si>
    <t>Arbeitswochen netto pro VZÄ im Jahr*</t>
  </si>
  <si>
    <t>Arbeitsstunden netto pro VZÄ am Tag**</t>
  </si>
  <si>
    <t>**) ohne Verteiler- bzw. Rüstzeiten</t>
  </si>
  <si>
    <t>*) ohne Urlaubs-, Krankheits-, Fortbildungszeiten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</si>
</sst>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1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Border="1"/>
    <xf numFmtId="0" fontId="0" fillId="0" borderId="30" xfId="0" applyBorder="1"/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1" fillId="0" borderId="18" xfId="0" applyFont="1" applyBorder="1"/>
    <xf numFmtId="0" fontId="0" fillId="0" borderId="29" xfId="0" applyBorder="1"/>
    <xf numFmtId="0" fontId="0" fillId="0" borderId="31" xfId="0" applyBorder="1"/>
    <xf numFmtId="0" fontId="1" fillId="0" borderId="1" xfId="0" applyFont="1" applyBorder="1"/>
    <xf numFmtId="0" fontId="0" fillId="0" borderId="28" xfId="0" applyFont="1" applyBorder="1"/>
    <xf numFmtId="0" fontId="0" fillId="0" borderId="29" xfId="0" applyFont="1" applyBorder="1"/>
    <xf numFmtId="164" fontId="0" fillId="0" borderId="38" xfId="0" applyNumberFormat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40" xfId="0" applyFont="1" applyBorder="1"/>
    <xf numFmtId="164" fontId="1" fillId="0" borderId="41" xfId="0" applyNumberFormat="1" applyFon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9" fontId="0" fillId="2" borderId="35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2" borderId="2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51" xfId="0" applyBorder="1"/>
    <xf numFmtId="1" fontId="0" fillId="0" borderId="12" xfId="0" applyNumberFormat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9" fontId="0" fillId="0" borderId="44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9" fontId="0" fillId="0" borderId="5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40" xfId="0" applyFont="1" applyFill="1" applyBorder="1"/>
    <xf numFmtId="2" fontId="1" fillId="0" borderId="57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" fillId="0" borderId="60" xfId="0" applyFont="1" applyFill="1" applyBorder="1"/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2" borderId="19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2" fontId="1" fillId="3" borderId="58" xfId="0" applyNumberFormat="1" applyFont="1" applyFill="1" applyBorder="1" applyAlignment="1">
      <alignment horizontal="center"/>
    </xf>
    <xf numFmtId="2" fontId="0" fillId="3" borderId="22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3" borderId="35" xfId="0" applyNumberFormat="1" applyFill="1" applyBorder="1" applyAlignment="1">
      <alignment horizontal="center"/>
    </xf>
    <xf numFmtId="164" fontId="0" fillId="3" borderId="34" xfId="0" applyNumberFormat="1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9" fontId="0" fillId="3" borderId="22" xfId="0" applyNumberForma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9" fontId="0" fillId="3" borderId="47" xfId="0" applyNumberFormat="1" applyFill="1" applyBorder="1" applyAlignment="1">
      <alignment horizontal="center"/>
    </xf>
    <xf numFmtId="2" fontId="0" fillId="3" borderId="47" xfId="0" applyNumberFormat="1" applyFill="1" applyBorder="1" applyAlignment="1">
      <alignment horizontal="center"/>
    </xf>
    <xf numFmtId="2" fontId="0" fillId="3" borderId="48" xfId="0" applyNumberForma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3" borderId="21" xfId="0" applyNumberFormat="1" applyFill="1" applyBorder="1" applyAlignment="1">
      <alignment horizontal="center"/>
    </xf>
    <xf numFmtId="9" fontId="0" fillId="3" borderId="5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>
      <selection activeCell="D8" sqref="D8"/>
    </sheetView>
  </sheetViews>
  <sheetFormatPr baseColWidth="10" defaultColWidth="9.140625" defaultRowHeight="15" x14ac:dyDescent="0.25"/>
  <cols>
    <col min="1" max="1" width="58.5703125" customWidth="1"/>
    <col min="2" max="2" width="8.5703125" style="4" customWidth="1"/>
    <col min="3" max="3" width="9.140625" style="4"/>
    <col min="4" max="4" width="9.28515625" style="4" customWidth="1"/>
    <col min="5" max="8" width="9.140625" style="4"/>
    <col min="9" max="9" width="37.140625" style="4" customWidth="1"/>
  </cols>
  <sheetData>
    <row r="1" spans="1:12" x14ac:dyDescent="0.25">
      <c r="B1" s="9" t="s">
        <v>2</v>
      </c>
      <c r="C1" s="1"/>
      <c r="D1" s="1"/>
      <c r="E1" s="2"/>
      <c r="F1" s="3" t="s">
        <v>1</v>
      </c>
      <c r="G1" s="3"/>
      <c r="H1" s="55" t="s">
        <v>21</v>
      </c>
      <c r="I1" s="54"/>
    </row>
    <row r="2" spans="1:12" x14ac:dyDescent="0.25">
      <c r="A2" s="22" t="s">
        <v>6</v>
      </c>
      <c r="B2" s="24" t="s">
        <v>64</v>
      </c>
      <c r="C2" s="25" t="s">
        <v>63</v>
      </c>
      <c r="D2" s="175" t="s">
        <v>65</v>
      </c>
      <c r="E2" s="26" t="s">
        <v>66</v>
      </c>
      <c r="F2" s="3" t="s">
        <v>57</v>
      </c>
      <c r="G2" s="3"/>
      <c r="H2" s="65">
        <v>43</v>
      </c>
      <c r="I2" s="56" t="s">
        <v>75</v>
      </c>
    </row>
    <row r="3" spans="1:12" x14ac:dyDescent="0.25">
      <c r="A3" s="86" t="s">
        <v>0</v>
      </c>
      <c r="B3" s="89">
        <v>120</v>
      </c>
      <c r="C3" s="68">
        <v>80</v>
      </c>
      <c r="D3" s="176">
        <v>0</v>
      </c>
      <c r="E3" s="69">
        <v>50</v>
      </c>
      <c r="F3" s="82">
        <f>SUM(B3,C3,E3)</f>
        <v>250</v>
      </c>
      <c r="G3" s="3"/>
      <c r="H3" s="66">
        <v>7.2</v>
      </c>
      <c r="I3" s="57" t="s">
        <v>76</v>
      </c>
    </row>
    <row r="4" spans="1:12" x14ac:dyDescent="0.25">
      <c r="A4" s="87" t="s">
        <v>59</v>
      </c>
      <c r="B4" s="90">
        <v>1.5</v>
      </c>
      <c r="C4" s="71">
        <v>1.5</v>
      </c>
      <c r="D4" s="173">
        <v>2</v>
      </c>
      <c r="E4" s="72">
        <v>1</v>
      </c>
      <c r="F4" s="83">
        <f>F3*4/F5</f>
        <v>1.3636363636363635</v>
      </c>
      <c r="G4" s="3"/>
      <c r="H4" s="66">
        <v>5</v>
      </c>
      <c r="I4" s="57" t="s">
        <v>26</v>
      </c>
      <c r="K4" s="28"/>
      <c r="L4" s="28"/>
    </row>
    <row r="5" spans="1:12" x14ac:dyDescent="0.25">
      <c r="A5" s="88" t="s">
        <v>60</v>
      </c>
      <c r="B5" s="91">
        <f>B3*4/B4</f>
        <v>320</v>
      </c>
      <c r="C5" s="13">
        <f>C3*4/C4</f>
        <v>213.33333333333334</v>
      </c>
      <c r="D5" s="177">
        <f>D3*4/D4</f>
        <v>0</v>
      </c>
      <c r="E5" s="14">
        <f>E3*4/E4</f>
        <v>200</v>
      </c>
      <c r="F5" s="84">
        <f>SUM(B5,C5,E5)</f>
        <v>733.33333333333337</v>
      </c>
      <c r="G5" s="6"/>
      <c r="H5" s="59">
        <f>H2*H3*H4</f>
        <v>1548</v>
      </c>
      <c r="I5" s="57" t="s">
        <v>27</v>
      </c>
    </row>
    <row r="6" spans="1:12" x14ac:dyDescent="0.25">
      <c r="A6" s="23" t="s">
        <v>7</v>
      </c>
      <c r="B6" s="16"/>
      <c r="C6" s="17"/>
      <c r="D6" s="178"/>
      <c r="E6" s="18"/>
      <c r="F6" s="82"/>
      <c r="G6" s="3"/>
      <c r="H6" s="66">
        <v>250</v>
      </c>
      <c r="I6" s="57" t="s">
        <v>28</v>
      </c>
    </row>
    <row r="7" spans="1:12" x14ac:dyDescent="0.25">
      <c r="A7" s="86" t="s">
        <v>61</v>
      </c>
      <c r="B7" s="89">
        <v>2.5</v>
      </c>
      <c r="C7" s="68">
        <v>1.5</v>
      </c>
      <c r="D7" s="179">
        <v>0</v>
      </c>
      <c r="E7" s="69">
        <v>1</v>
      </c>
      <c r="F7" s="83">
        <f>SUM(B3*B7,C3*C7,E3*E7)/F3</f>
        <v>1.88</v>
      </c>
      <c r="G7" s="3"/>
      <c r="H7" s="171">
        <v>8</v>
      </c>
      <c r="I7" s="169" t="s">
        <v>69</v>
      </c>
    </row>
    <row r="8" spans="1:12" x14ac:dyDescent="0.25">
      <c r="A8" s="87" t="s">
        <v>62</v>
      </c>
      <c r="B8" s="90">
        <v>120</v>
      </c>
      <c r="C8" s="70">
        <v>240</v>
      </c>
      <c r="D8" s="180">
        <v>120</v>
      </c>
      <c r="E8" s="72">
        <v>180</v>
      </c>
      <c r="F8" s="82"/>
      <c r="G8" s="3"/>
      <c r="H8" s="59">
        <f>H6*H7</f>
        <v>2000</v>
      </c>
      <c r="I8" s="57" t="s">
        <v>29</v>
      </c>
    </row>
    <row r="9" spans="1:12" x14ac:dyDescent="0.25">
      <c r="A9" s="87" t="s">
        <v>70</v>
      </c>
      <c r="B9" s="172"/>
      <c r="C9" s="173"/>
      <c r="D9" s="180">
        <v>0.2</v>
      </c>
      <c r="E9" s="174"/>
      <c r="F9" s="82"/>
      <c r="G9" s="3"/>
      <c r="H9" s="60">
        <f>H8/H5</f>
        <v>1.2919896640826873</v>
      </c>
      <c r="I9" s="57" t="s">
        <v>25</v>
      </c>
    </row>
    <row r="10" spans="1:12" x14ac:dyDescent="0.25">
      <c r="A10" s="87" t="s">
        <v>71</v>
      </c>
      <c r="B10" s="93">
        <f>B7*B8</f>
        <v>300</v>
      </c>
      <c r="C10" s="10">
        <f>C7*C8</f>
        <v>360</v>
      </c>
      <c r="D10" s="180">
        <f t="shared" ref="D10" si="0">D7*D8*D9</f>
        <v>0</v>
      </c>
      <c r="E10" s="11">
        <f>E7*E8</f>
        <v>180</v>
      </c>
      <c r="F10" s="82"/>
      <c r="G10" s="3"/>
      <c r="H10" s="67">
        <v>8</v>
      </c>
      <c r="I10" s="58" t="s">
        <v>30</v>
      </c>
    </row>
    <row r="11" spans="1:12" x14ac:dyDescent="0.25">
      <c r="A11" s="87" t="s">
        <v>8</v>
      </c>
      <c r="B11" s="92">
        <v>0.5</v>
      </c>
      <c r="C11" s="73">
        <v>0.5</v>
      </c>
      <c r="D11" s="181"/>
      <c r="E11" s="74">
        <v>0.5</v>
      </c>
      <c r="F11" s="85"/>
      <c r="G11" s="27"/>
      <c r="H11" s="78">
        <v>0.25</v>
      </c>
      <c r="I11" s="170" t="s">
        <v>44</v>
      </c>
    </row>
    <row r="12" spans="1:12" x14ac:dyDescent="0.25">
      <c r="A12" s="87" t="s">
        <v>9</v>
      </c>
      <c r="B12" s="164">
        <v>40</v>
      </c>
      <c r="C12" s="75">
        <v>40</v>
      </c>
      <c r="D12" s="182"/>
      <c r="E12" s="94">
        <v>40</v>
      </c>
      <c r="F12" s="84"/>
      <c r="G12" s="6"/>
      <c r="H12" s="54" t="s">
        <v>78</v>
      </c>
    </row>
    <row r="13" spans="1:12" x14ac:dyDescent="0.25">
      <c r="A13" s="87" t="s">
        <v>10</v>
      </c>
      <c r="B13" s="10">
        <f>B7*B11*B12</f>
        <v>50</v>
      </c>
      <c r="C13" s="10">
        <f>C7*C11*C12</f>
        <v>30</v>
      </c>
      <c r="D13" s="182">
        <f>D7*D11*D12</f>
        <v>0</v>
      </c>
      <c r="E13" s="12">
        <f>E7*E11*E12</f>
        <v>20</v>
      </c>
      <c r="F13" s="85"/>
      <c r="G13" s="27"/>
      <c r="H13" s="54" t="s">
        <v>77</v>
      </c>
    </row>
    <row r="14" spans="1:12" x14ac:dyDescent="0.25">
      <c r="A14" s="87" t="s">
        <v>72</v>
      </c>
      <c r="B14" s="93">
        <f>SUM(B10,B13)</f>
        <v>350</v>
      </c>
      <c r="C14" s="10">
        <f>SUM(C10,C13)</f>
        <v>390</v>
      </c>
      <c r="D14" s="182">
        <f>SUM(D10,D13)</f>
        <v>0</v>
      </c>
      <c r="E14" s="12">
        <f>SUM(E10,E13)</f>
        <v>200</v>
      </c>
      <c r="F14" s="84"/>
      <c r="G14" s="6"/>
    </row>
    <row r="15" spans="1:12" x14ac:dyDescent="0.25">
      <c r="A15" s="88" t="s">
        <v>73</v>
      </c>
      <c r="B15" s="95">
        <f>B14/60</f>
        <v>5.833333333333333</v>
      </c>
      <c r="C15" s="19">
        <f t="shared" ref="C15:E15" si="1">C14/60</f>
        <v>6.5</v>
      </c>
      <c r="D15" s="183">
        <f t="shared" si="1"/>
        <v>0</v>
      </c>
      <c r="E15" s="20">
        <f t="shared" si="1"/>
        <v>3.3333333333333335</v>
      </c>
      <c r="F15" s="84"/>
      <c r="G15" s="6"/>
    </row>
    <row r="16" spans="1:12" x14ac:dyDescent="0.25">
      <c r="F16" s="84"/>
      <c r="G16" s="6"/>
    </row>
    <row r="17" spans="1:9" x14ac:dyDescent="0.25">
      <c r="F17" s="83"/>
      <c r="G17" s="5"/>
    </row>
    <row r="18" spans="1:9" x14ac:dyDescent="0.25">
      <c r="A18" s="28"/>
      <c r="B18" s="5"/>
      <c r="C18" s="5"/>
      <c r="D18" s="5"/>
      <c r="E18" s="5"/>
      <c r="F18" s="5"/>
      <c r="G18" s="5"/>
      <c r="H18" s="3"/>
      <c r="I18" s="102" t="s">
        <v>36</v>
      </c>
    </row>
    <row r="19" spans="1:9" x14ac:dyDescent="0.25">
      <c r="A19" s="28"/>
      <c r="B19" s="9" t="s">
        <v>2</v>
      </c>
      <c r="C19" s="1"/>
      <c r="D19" s="1"/>
      <c r="E19" s="1"/>
      <c r="F19" s="1"/>
      <c r="G19" s="7"/>
      <c r="H19" s="2"/>
      <c r="I19" s="100" t="s">
        <v>35</v>
      </c>
    </row>
    <row r="20" spans="1:9" x14ac:dyDescent="0.25">
      <c r="A20" s="42" t="s">
        <v>5</v>
      </c>
      <c r="B20" s="24" t="s">
        <v>64</v>
      </c>
      <c r="C20" s="25" t="s">
        <v>63</v>
      </c>
      <c r="D20" s="175" t="s">
        <v>65</v>
      </c>
      <c r="E20" s="26" t="s">
        <v>66</v>
      </c>
      <c r="F20" s="118"/>
      <c r="G20" s="25"/>
      <c r="H20" s="26" t="s">
        <v>1</v>
      </c>
      <c r="I20" s="101">
        <v>1</v>
      </c>
    </row>
    <row r="21" spans="1:9" x14ac:dyDescent="0.25">
      <c r="A21" s="86" t="s">
        <v>74</v>
      </c>
      <c r="B21" s="122">
        <f>B15*B3*4</f>
        <v>2800</v>
      </c>
      <c r="C21" s="15">
        <f>C15*C3*4</f>
        <v>2080</v>
      </c>
      <c r="D21" s="176">
        <f>D15*D3*4</f>
        <v>0</v>
      </c>
      <c r="E21" s="30">
        <f>E15*E3*4</f>
        <v>666.66666666666674</v>
      </c>
      <c r="F21" s="123"/>
      <c r="G21" s="30"/>
      <c r="H21" s="37">
        <f>SUM(B21:F21)</f>
        <v>5546.666666666667</v>
      </c>
      <c r="I21" s="36">
        <f>H21*I20</f>
        <v>5546.666666666667</v>
      </c>
    </row>
    <row r="22" spans="1:9" x14ac:dyDescent="0.25">
      <c r="A22" s="120" t="s">
        <v>41</v>
      </c>
      <c r="B22" s="156">
        <f>B21/H5</f>
        <v>1.8087855297157622</v>
      </c>
      <c r="C22" s="97">
        <f>C21/H5</f>
        <v>1.3436692506459949</v>
      </c>
      <c r="D22" s="184">
        <f>D21/H5</f>
        <v>0</v>
      </c>
      <c r="E22" s="105">
        <f>E21/H5</f>
        <v>0.43066322136089585</v>
      </c>
      <c r="F22" s="157"/>
      <c r="G22" s="105"/>
      <c r="H22" s="60">
        <f t="shared" ref="H22:H26" si="2">SUM(B22:F22)</f>
        <v>3.5831180017226529</v>
      </c>
      <c r="I22" s="32">
        <f>H22*I20</f>
        <v>3.5831180017226529</v>
      </c>
    </row>
    <row r="23" spans="1:9" x14ac:dyDescent="0.25">
      <c r="A23" s="87" t="s">
        <v>22</v>
      </c>
      <c r="B23" s="92">
        <v>0.08</v>
      </c>
      <c r="C23" s="73">
        <v>0.08</v>
      </c>
      <c r="D23" s="181">
        <v>0.08</v>
      </c>
      <c r="E23" s="74">
        <v>0.08</v>
      </c>
      <c r="F23" s="124"/>
      <c r="G23" s="103"/>
      <c r="H23" s="34"/>
      <c r="I23" s="32"/>
    </row>
    <row r="24" spans="1:9" x14ac:dyDescent="0.25">
      <c r="A24" s="87" t="s">
        <v>23</v>
      </c>
      <c r="B24" s="156">
        <f>B22*B23</f>
        <v>0.14470284237726097</v>
      </c>
      <c r="C24" s="97">
        <f>C22*C23</f>
        <v>0.10749354005167959</v>
      </c>
      <c r="D24" s="184">
        <f t="shared" ref="D24:E24" si="3">D22*D23</f>
        <v>0</v>
      </c>
      <c r="E24" s="105">
        <f t="shared" si="3"/>
        <v>3.4453057708871672E-2</v>
      </c>
      <c r="F24" s="157"/>
      <c r="G24" s="105"/>
      <c r="H24" s="60">
        <f t="shared" si="2"/>
        <v>0.28664944013781224</v>
      </c>
      <c r="I24" s="32">
        <f>H24*I20</f>
        <v>0.28664944013781224</v>
      </c>
    </row>
    <row r="25" spans="1:9" x14ac:dyDescent="0.25">
      <c r="A25" s="121" t="s">
        <v>24</v>
      </c>
      <c r="B25" s="158"/>
      <c r="C25" s="99">
        <f>H11*H6*H10*H9/H5</f>
        <v>0.41730932302412382</v>
      </c>
      <c r="D25" s="185"/>
      <c r="E25" s="106"/>
      <c r="F25" s="159"/>
      <c r="G25" s="106"/>
      <c r="H25" s="115">
        <f>SUM(B25:F25)</f>
        <v>0.41730932302412382</v>
      </c>
      <c r="I25" s="48">
        <f>H25*I20</f>
        <v>0.41730932302412382</v>
      </c>
    </row>
    <row r="26" spans="1:9" x14ac:dyDescent="0.25">
      <c r="A26" s="63" t="s">
        <v>34</v>
      </c>
      <c r="B26" s="152">
        <f>SUM(B22,B24,B25)</f>
        <v>1.9534883720930232</v>
      </c>
      <c r="C26" s="117">
        <f>SUM(C22,C24,C25)</f>
        <v>1.8684721137217983</v>
      </c>
      <c r="D26" s="186">
        <f>SUM(D22,D24,D25)</f>
        <v>0</v>
      </c>
      <c r="E26" s="153">
        <f>SUM(E22,E24,E25)</f>
        <v>0.46511627906976755</v>
      </c>
      <c r="F26" s="154"/>
      <c r="G26" s="153"/>
      <c r="H26" s="155">
        <f t="shared" si="2"/>
        <v>4.2870767648845893</v>
      </c>
      <c r="I26" s="51">
        <f>H26*I20</f>
        <v>4.2870767648845893</v>
      </c>
    </row>
    <row r="27" spans="1:9" x14ac:dyDescent="0.25">
      <c r="A27" s="63" t="s">
        <v>31</v>
      </c>
      <c r="B27" s="50">
        <f>B3/B26</f>
        <v>61.428571428571431</v>
      </c>
      <c r="C27" s="64">
        <f>C3/C26</f>
        <v>42.815731319986618</v>
      </c>
      <c r="D27" s="187"/>
      <c r="E27" s="50">
        <f t="shared" ref="E27" si="4">E3/E26</f>
        <v>107.49999999999997</v>
      </c>
      <c r="F27" s="119"/>
      <c r="G27" s="62"/>
      <c r="H27" s="62">
        <f>F3/H26</f>
        <v>58.314794371714534</v>
      </c>
      <c r="I27" s="62"/>
    </row>
    <row r="28" spans="1:9" x14ac:dyDescent="0.25">
      <c r="A28" s="162" t="s">
        <v>58</v>
      </c>
      <c r="B28" s="163">
        <f>B5/B26</f>
        <v>163.80952380952382</v>
      </c>
      <c r="C28" s="163">
        <f>C5/C26</f>
        <v>114.17528351996432</v>
      </c>
      <c r="D28" s="163"/>
      <c r="E28" s="163">
        <f t="shared" ref="E28:H28" si="5">E5/E26</f>
        <v>429.99999999999989</v>
      </c>
      <c r="F28" s="163"/>
      <c r="G28" s="163"/>
      <c r="H28" s="163">
        <f t="shared" si="5"/>
        <v>361.08520674965638</v>
      </c>
      <c r="I28" s="8"/>
    </row>
    <row r="29" spans="1:9" x14ac:dyDescent="0.25">
      <c r="B29" s="9" t="s">
        <v>2</v>
      </c>
      <c r="C29" s="1"/>
      <c r="D29" s="1"/>
      <c r="E29" s="1"/>
      <c r="F29" s="1"/>
      <c r="G29" s="1"/>
      <c r="H29" s="21"/>
    </row>
    <row r="30" spans="1:9" x14ac:dyDescent="0.25">
      <c r="A30" s="42" t="s">
        <v>11</v>
      </c>
      <c r="B30" s="24" t="s">
        <v>64</v>
      </c>
      <c r="C30" s="25" t="s">
        <v>63</v>
      </c>
      <c r="D30" s="175" t="s">
        <v>65</v>
      </c>
      <c r="E30" s="26" t="s">
        <v>66</v>
      </c>
      <c r="F30" s="26" t="s">
        <v>67</v>
      </c>
      <c r="G30" s="200" t="s">
        <v>68</v>
      </c>
      <c r="H30" s="26" t="s">
        <v>1</v>
      </c>
      <c r="I30" s="102" t="s">
        <v>40</v>
      </c>
    </row>
    <row r="31" spans="1:9" x14ac:dyDescent="0.25">
      <c r="A31" s="46" t="s">
        <v>33</v>
      </c>
      <c r="B31" s="79"/>
      <c r="C31" s="29"/>
      <c r="D31" s="188"/>
      <c r="E31" s="29"/>
      <c r="F31" s="104">
        <v>0.5</v>
      </c>
      <c r="G31" s="201"/>
      <c r="H31" s="33">
        <f t="shared" ref="H31:H33" si="6">SUM(B31:G31)</f>
        <v>0.5</v>
      </c>
      <c r="I31" s="31">
        <f>H31*I20</f>
        <v>0.5</v>
      </c>
    </row>
    <row r="32" spans="1:9" x14ac:dyDescent="0.25">
      <c r="A32" s="47" t="s">
        <v>12</v>
      </c>
      <c r="B32" s="76">
        <v>0.05</v>
      </c>
      <c r="C32" s="73">
        <v>0.05</v>
      </c>
      <c r="D32" s="181">
        <v>0.05</v>
      </c>
      <c r="E32" s="73">
        <v>0.05</v>
      </c>
      <c r="F32" s="74">
        <v>0.05</v>
      </c>
      <c r="G32" s="202">
        <v>0.05</v>
      </c>
      <c r="H32" s="34"/>
      <c r="I32" s="32"/>
    </row>
    <row r="33" spans="1:9" x14ac:dyDescent="0.25">
      <c r="A33" s="43" t="s">
        <v>32</v>
      </c>
      <c r="B33" s="96">
        <f>SUM(B26,B31)*B32</f>
        <v>9.7674418604651161E-2</v>
      </c>
      <c r="C33" s="97">
        <f t="shared" ref="C33:G33" si="7">SUM(C26,C31)*C32</f>
        <v>9.3423605686089928E-2</v>
      </c>
      <c r="D33" s="184">
        <f t="shared" si="7"/>
        <v>0</v>
      </c>
      <c r="E33" s="97">
        <f t="shared" si="7"/>
        <v>2.3255813953488379E-2</v>
      </c>
      <c r="F33" s="105">
        <f t="shared" si="7"/>
        <v>2.5000000000000001E-2</v>
      </c>
      <c r="G33" s="203">
        <f t="shared" si="7"/>
        <v>0</v>
      </c>
      <c r="H33" s="60">
        <f t="shared" si="6"/>
        <v>0.23935383824422946</v>
      </c>
      <c r="I33" s="32">
        <f>H33*I20</f>
        <v>0.23935383824422946</v>
      </c>
    </row>
    <row r="34" spans="1:9" x14ac:dyDescent="0.25">
      <c r="A34" s="43" t="s">
        <v>13</v>
      </c>
      <c r="B34" s="76">
        <v>0.15</v>
      </c>
      <c r="C34" s="73">
        <v>0.15</v>
      </c>
      <c r="D34" s="181">
        <v>0.05</v>
      </c>
      <c r="E34" s="73">
        <v>0.15</v>
      </c>
      <c r="F34" s="74">
        <v>0.05</v>
      </c>
      <c r="G34" s="202">
        <v>0.05</v>
      </c>
      <c r="H34" s="34"/>
      <c r="I34" s="32"/>
    </row>
    <row r="35" spans="1:9" x14ac:dyDescent="0.25">
      <c r="A35" s="44" t="s">
        <v>4</v>
      </c>
      <c r="B35" s="98">
        <f>SUM(B26,B31,B33)*B34</f>
        <v>0.30767441860465111</v>
      </c>
      <c r="C35" s="99">
        <f t="shared" ref="C35:G35" si="8">SUM(C26,C31,C33)*C34</f>
        <v>0.29428435791118324</v>
      </c>
      <c r="D35" s="185">
        <f t="shared" si="8"/>
        <v>0</v>
      </c>
      <c r="E35" s="99">
        <f t="shared" si="8"/>
        <v>7.3255813953488388E-2</v>
      </c>
      <c r="F35" s="106">
        <f t="shared" si="8"/>
        <v>2.6250000000000002E-2</v>
      </c>
      <c r="G35" s="204">
        <f t="shared" si="8"/>
        <v>0</v>
      </c>
      <c r="H35" s="115">
        <f>SUM(B35:G35)</f>
        <v>0.70146459046932264</v>
      </c>
      <c r="I35" s="48">
        <f>H35*I20</f>
        <v>0.70146459046932264</v>
      </c>
    </row>
    <row r="36" spans="1:9" x14ac:dyDescent="0.25">
      <c r="A36" s="49" t="s">
        <v>53</v>
      </c>
      <c r="B36" s="145">
        <f>SUM(B26,B31,B33,B35)</f>
        <v>2.3588372093023251</v>
      </c>
      <c r="C36" s="146">
        <f t="shared" ref="C36:G36" si="9">SUM(C26,C31,C33,C35)</f>
        <v>2.2561800773190717</v>
      </c>
      <c r="D36" s="189">
        <f t="shared" si="9"/>
        <v>0</v>
      </c>
      <c r="E36" s="146">
        <f t="shared" si="9"/>
        <v>0.56162790697674425</v>
      </c>
      <c r="F36" s="147">
        <f t="shared" si="9"/>
        <v>0.55125000000000002</v>
      </c>
      <c r="G36" s="205">
        <f t="shared" si="9"/>
        <v>0</v>
      </c>
      <c r="H36" s="148">
        <f>SUM(B36:G36)</f>
        <v>5.7278951935981404</v>
      </c>
      <c r="I36" s="51">
        <f>H36*I20</f>
        <v>5.7278951935981404</v>
      </c>
    </row>
    <row r="37" spans="1:9" x14ac:dyDescent="0.25">
      <c r="A37" s="144" t="s">
        <v>54</v>
      </c>
      <c r="B37" s="149">
        <f>B36-B35</f>
        <v>2.0511627906976742</v>
      </c>
      <c r="C37" s="150">
        <f t="shared" ref="C37:H37" si="10">C36-C35</f>
        <v>1.9618957194078885</v>
      </c>
      <c r="D37" s="190">
        <f t="shared" si="10"/>
        <v>0</v>
      </c>
      <c r="E37" s="150">
        <f t="shared" si="10"/>
        <v>0.48837209302325585</v>
      </c>
      <c r="F37" s="150">
        <f t="shared" si="10"/>
        <v>0.52500000000000002</v>
      </c>
      <c r="G37" s="190">
        <f t="shared" si="10"/>
        <v>0</v>
      </c>
      <c r="H37" s="151">
        <f t="shared" si="10"/>
        <v>5.0264306031288175</v>
      </c>
      <c r="I37" s="62"/>
    </row>
    <row r="38" spans="1:9" x14ac:dyDescent="0.25">
      <c r="A38" s="28"/>
      <c r="B38" s="3"/>
      <c r="C38" s="3"/>
    </row>
    <row r="39" spans="1:9" x14ac:dyDescent="0.25">
      <c r="A39" s="45" t="s">
        <v>43</v>
      </c>
      <c r="B39" s="52">
        <f>B36*I52</f>
        <v>175.40192716377513</v>
      </c>
      <c r="C39" s="53">
        <f>C36*I52</f>
        <v>167.76839538974718</v>
      </c>
      <c r="D39" s="191">
        <f>D36*I52</f>
        <v>0</v>
      </c>
      <c r="E39" s="53">
        <f>E36*I52</f>
        <v>41.762363610422661</v>
      </c>
      <c r="F39" s="53">
        <f>F36*I52</f>
        <v>40.99066776109963</v>
      </c>
      <c r="G39" s="53">
        <f>G36*I52</f>
        <v>0</v>
      </c>
      <c r="H39" s="131">
        <f>H36*I52</f>
        <v>425.92335392504452</v>
      </c>
      <c r="I39" s="53">
        <f>H39*I20</f>
        <v>425.92335392504452</v>
      </c>
    </row>
    <row r="40" spans="1:9" x14ac:dyDescent="0.25">
      <c r="A40" s="38" t="s">
        <v>37</v>
      </c>
      <c r="B40" s="108"/>
      <c r="C40" s="109"/>
      <c r="D40" s="179"/>
      <c r="E40" s="107"/>
      <c r="F40" s="107"/>
      <c r="G40" s="110">
        <f>G39</f>
        <v>0</v>
      </c>
      <c r="H40" s="35">
        <f>SUM(B40:G40)</f>
        <v>0</v>
      </c>
      <c r="I40" s="37">
        <f>H40*I20</f>
        <v>0</v>
      </c>
    </row>
    <row r="41" spans="1:9" x14ac:dyDescent="0.25">
      <c r="A41" s="43" t="s">
        <v>38</v>
      </c>
      <c r="B41" s="111">
        <f>B39</f>
        <v>175.40192716377513</v>
      </c>
      <c r="C41" s="111">
        <f t="shared" ref="C41:F41" si="11">C39</f>
        <v>167.76839538974718</v>
      </c>
      <c r="D41" s="192">
        <f t="shared" si="11"/>
        <v>0</v>
      </c>
      <c r="E41" s="111"/>
      <c r="F41" s="111">
        <f t="shared" si="11"/>
        <v>40.99066776109963</v>
      </c>
      <c r="G41" s="112"/>
      <c r="H41" s="81">
        <f>SUM(B41:G41)</f>
        <v>384.16099031462193</v>
      </c>
      <c r="I41" s="125">
        <f>H41*I20</f>
        <v>384.16099031462193</v>
      </c>
    </row>
    <row r="42" spans="1:9" x14ac:dyDescent="0.25">
      <c r="A42" s="39" t="s">
        <v>39</v>
      </c>
      <c r="B42" s="113"/>
      <c r="C42" s="114"/>
      <c r="D42" s="177"/>
      <c r="E42" s="114">
        <f>E39-SUM(E40,E41)</f>
        <v>41.762363610422661</v>
      </c>
      <c r="F42" s="114"/>
      <c r="G42" s="114"/>
      <c r="H42" s="80">
        <f>SUM(B42:G42)</f>
        <v>41.762363610422661</v>
      </c>
      <c r="I42" s="126">
        <f>H42*I20</f>
        <v>41.762363610422661</v>
      </c>
    </row>
    <row r="44" spans="1:9" x14ac:dyDescent="0.25">
      <c r="B44" s="9" t="s">
        <v>2</v>
      </c>
      <c r="C44" s="1"/>
      <c r="D44" s="1"/>
      <c r="E44" s="1"/>
      <c r="F44" s="1"/>
      <c r="G44" s="1"/>
      <c r="H44" s="21"/>
    </row>
    <row r="45" spans="1:9" x14ac:dyDescent="0.25">
      <c r="A45" s="42" t="s">
        <v>14</v>
      </c>
      <c r="B45" s="24" t="s">
        <v>64</v>
      </c>
      <c r="C45" s="25" t="s">
        <v>63</v>
      </c>
      <c r="D45" s="175" t="s">
        <v>65</v>
      </c>
      <c r="E45" s="26" t="s">
        <v>66</v>
      </c>
      <c r="F45" s="26" t="s">
        <v>67</v>
      </c>
      <c r="G45" s="175" t="s">
        <v>68</v>
      </c>
      <c r="H45" s="26" t="s">
        <v>1</v>
      </c>
    </row>
    <row r="46" spans="1:9" x14ac:dyDescent="0.25">
      <c r="A46" s="38" t="s">
        <v>15</v>
      </c>
      <c r="B46" s="40">
        <f>B37*B57</f>
        <v>0.51279069767441854</v>
      </c>
      <c r="C46" s="40">
        <f>C37*C57</f>
        <v>0.64742558740460321</v>
      </c>
      <c r="D46" s="193">
        <f t="shared" ref="D46:G46" si="12">D37*D57</f>
        <v>0</v>
      </c>
      <c r="E46" s="40">
        <f t="shared" si="12"/>
        <v>9.7674418604651175E-2</v>
      </c>
      <c r="F46" s="40">
        <f t="shared" si="12"/>
        <v>0.10500000000000001</v>
      </c>
      <c r="G46" s="193">
        <f t="shared" si="12"/>
        <v>0</v>
      </c>
      <c r="H46" s="160">
        <f>SUM(B46:G46)</f>
        <v>1.362890703683673</v>
      </c>
      <c r="I46" s="37">
        <f t="shared" ref="I46:I51" si="13">I57*H46</f>
        <v>136.28907036836731</v>
      </c>
    </row>
    <row r="47" spans="1:9" x14ac:dyDescent="0.25">
      <c r="A47" s="43" t="s">
        <v>16</v>
      </c>
      <c r="B47" s="41">
        <f>B37*B58</f>
        <v>0.51279069767441854</v>
      </c>
      <c r="C47" s="41">
        <f t="shared" ref="C47:G47" si="14">C37*C58</f>
        <v>0</v>
      </c>
      <c r="D47" s="194">
        <f t="shared" si="14"/>
        <v>0</v>
      </c>
      <c r="E47" s="41">
        <f t="shared" si="14"/>
        <v>0</v>
      </c>
      <c r="F47" s="41">
        <f t="shared" si="14"/>
        <v>0</v>
      </c>
      <c r="G47" s="194">
        <f t="shared" si="14"/>
        <v>0</v>
      </c>
      <c r="H47" s="161">
        <f t="shared" ref="H47:H52" si="15">SUM(B47:G47)</f>
        <v>0.51279069767441854</v>
      </c>
      <c r="I47" s="125">
        <f t="shared" si="13"/>
        <v>41.023255813953483</v>
      </c>
    </row>
    <row r="48" spans="1:9" x14ac:dyDescent="0.25">
      <c r="A48" s="43" t="s">
        <v>17</v>
      </c>
      <c r="B48" s="41">
        <f>B37*B59</f>
        <v>0</v>
      </c>
      <c r="C48" s="41">
        <f t="shared" ref="C48:G48" si="16">C37*C59</f>
        <v>0</v>
      </c>
      <c r="D48" s="194">
        <f t="shared" si="16"/>
        <v>0</v>
      </c>
      <c r="E48" s="41">
        <f t="shared" si="16"/>
        <v>0</v>
      </c>
      <c r="F48" s="41">
        <f t="shared" si="16"/>
        <v>0</v>
      </c>
      <c r="G48" s="194">
        <f t="shared" si="16"/>
        <v>0</v>
      </c>
      <c r="H48" s="161">
        <f t="shared" si="15"/>
        <v>0</v>
      </c>
      <c r="I48" s="125">
        <f t="shared" si="13"/>
        <v>0</v>
      </c>
    </row>
    <row r="49" spans="1:9" x14ac:dyDescent="0.25">
      <c r="A49" s="43" t="s">
        <v>18</v>
      </c>
      <c r="B49" s="96">
        <f>B37*B60</f>
        <v>1.0255813953488371</v>
      </c>
      <c r="C49" s="96">
        <f>C37*C60</f>
        <v>1.3144701320032854</v>
      </c>
      <c r="D49" s="195">
        <f t="shared" ref="D49:G49" si="17">D37*D60</f>
        <v>0</v>
      </c>
      <c r="E49" s="96">
        <f t="shared" si="17"/>
        <v>0.3906976744186047</v>
      </c>
      <c r="F49" s="96">
        <f t="shared" si="17"/>
        <v>0.42000000000000004</v>
      </c>
      <c r="G49" s="195">
        <f t="shared" si="17"/>
        <v>0</v>
      </c>
      <c r="H49" s="161">
        <f t="shared" si="15"/>
        <v>3.1507492017707275</v>
      </c>
      <c r="I49" s="125">
        <f t="shared" si="13"/>
        <v>220.55244412395092</v>
      </c>
    </row>
    <row r="50" spans="1:9" x14ac:dyDescent="0.25">
      <c r="A50" s="43" t="s">
        <v>19</v>
      </c>
      <c r="B50" s="41">
        <f>B37*B61</f>
        <v>0</v>
      </c>
      <c r="C50" s="41">
        <f t="shared" ref="C50:G50" si="18">C37*C61</f>
        <v>0</v>
      </c>
      <c r="D50" s="194">
        <f t="shared" si="18"/>
        <v>0</v>
      </c>
      <c r="E50" s="41">
        <f t="shared" si="18"/>
        <v>0</v>
      </c>
      <c r="F50" s="41">
        <f t="shared" si="18"/>
        <v>0</v>
      </c>
      <c r="G50" s="194">
        <f t="shared" si="18"/>
        <v>0</v>
      </c>
      <c r="H50" s="161">
        <f t="shared" si="15"/>
        <v>0</v>
      </c>
      <c r="I50" s="125">
        <f t="shared" si="13"/>
        <v>0</v>
      </c>
    </row>
    <row r="51" spans="1:9" ht="15.75" thickBot="1" x14ac:dyDescent="0.3">
      <c r="A51" s="44" t="s">
        <v>20</v>
      </c>
      <c r="B51" s="98">
        <f>B35</f>
        <v>0.30767441860465111</v>
      </c>
      <c r="C51" s="98">
        <f t="shared" ref="C51:G51" si="19">C35</f>
        <v>0.29428435791118324</v>
      </c>
      <c r="D51" s="196">
        <f t="shared" si="19"/>
        <v>0</v>
      </c>
      <c r="E51" s="98">
        <f t="shared" si="19"/>
        <v>7.3255813953488388E-2</v>
      </c>
      <c r="F51" s="98">
        <f t="shared" si="19"/>
        <v>2.6250000000000002E-2</v>
      </c>
      <c r="G51" s="196">
        <f t="shared" si="19"/>
        <v>0</v>
      </c>
      <c r="H51" s="127">
        <f t="shared" si="15"/>
        <v>0.70146459046932264</v>
      </c>
      <c r="I51" s="136">
        <f t="shared" si="13"/>
        <v>28.058583618772907</v>
      </c>
    </row>
    <row r="52" spans="1:9" x14ac:dyDescent="0.25">
      <c r="A52" s="45" t="s">
        <v>3</v>
      </c>
      <c r="B52" s="116">
        <f>SUM(B46:B51)</f>
        <v>2.3588372093023251</v>
      </c>
      <c r="C52" s="117">
        <f t="shared" ref="C52:F52" si="20">SUM(C46:C51)</f>
        <v>2.2561800773190717</v>
      </c>
      <c r="D52" s="186">
        <f t="shared" si="20"/>
        <v>0</v>
      </c>
      <c r="E52" s="117">
        <f t="shared" si="20"/>
        <v>0.56162790697674425</v>
      </c>
      <c r="F52" s="117">
        <f t="shared" si="20"/>
        <v>0.55125000000000002</v>
      </c>
      <c r="G52" s="206">
        <f>SUM(G46:G51)</f>
        <v>0</v>
      </c>
      <c r="H52" s="128">
        <f t="shared" si="15"/>
        <v>5.7278951935981404</v>
      </c>
      <c r="I52" s="129">
        <f>SUM(I46:I51)/H52</f>
        <v>74.359488001994791</v>
      </c>
    </row>
    <row r="53" spans="1:9" ht="15.75" thickBot="1" x14ac:dyDescent="0.3">
      <c r="I53" s="130" t="s">
        <v>42</v>
      </c>
    </row>
    <row r="54" spans="1:9" x14ac:dyDescent="0.25">
      <c r="I54" s="135"/>
    </row>
    <row r="55" spans="1:9" x14ac:dyDescent="0.25">
      <c r="B55" s="61" t="s">
        <v>55</v>
      </c>
      <c r="I55" s="135"/>
    </row>
    <row r="56" spans="1:9" x14ac:dyDescent="0.25">
      <c r="A56" s="22" t="s">
        <v>46</v>
      </c>
      <c r="B56" s="166" t="s">
        <v>64</v>
      </c>
      <c r="C56" s="167" t="s">
        <v>63</v>
      </c>
      <c r="D56" s="197" t="s">
        <v>65</v>
      </c>
      <c r="E56" s="167" t="s">
        <v>66</v>
      </c>
      <c r="F56" s="168" t="s">
        <v>67</v>
      </c>
      <c r="G56" s="207" t="s">
        <v>68</v>
      </c>
      <c r="H56" s="165"/>
      <c r="I56" s="22" t="s">
        <v>45</v>
      </c>
    </row>
    <row r="57" spans="1:9" x14ac:dyDescent="0.25">
      <c r="A57" s="86" t="s">
        <v>47</v>
      </c>
      <c r="B57" s="137">
        <v>0.25</v>
      </c>
      <c r="C57" s="138">
        <v>0.33</v>
      </c>
      <c r="D57" s="179"/>
      <c r="E57" s="138">
        <v>0.2</v>
      </c>
      <c r="F57" s="138">
        <v>0.2</v>
      </c>
      <c r="G57" s="208"/>
      <c r="I57" s="132">
        <v>100</v>
      </c>
    </row>
    <row r="58" spans="1:9" x14ac:dyDescent="0.25">
      <c r="A58" s="87" t="s">
        <v>48</v>
      </c>
      <c r="B58" s="92">
        <v>0.25</v>
      </c>
      <c r="C58" s="70"/>
      <c r="D58" s="180"/>
      <c r="E58" s="70"/>
      <c r="F58" s="70"/>
      <c r="G58" s="209"/>
      <c r="I58" s="133">
        <v>80</v>
      </c>
    </row>
    <row r="59" spans="1:9" x14ac:dyDescent="0.25">
      <c r="A59" s="87" t="s">
        <v>49</v>
      </c>
      <c r="B59" s="90"/>
      <c r="C59" s="70"/>
      <c r="D59" s="180"/>
      <c r="E59" s="70"/>
      <c r="F59" s="70"/>
      <c r="G59" s="209"/>
      <c r="I59" s="133">
        <v>60</v>
      </c>
    </row>
    <row r="60" spans="1:9" x14ac:dyDescent="0.25">
      <c r="A60" s="87" t="s">
        <v>50</v>
      </c>
      <c r="B60" s="92">
        <v>0.5</v>
      </c>
      <c r="C60" s="73">
        <v>0.67</v>
      </c>
      <c r="D60" s="181">
        <v>1</v>
      </c>
      <c r="E60" s="73">
        <v>0.8</v>
      </c>
      <c r="F60" s="73">
        <v>0.8</v>
      </c>
      <c r="G60" s="210">
        <v>1</v>
      </c>
      <c r="I60" s="133">
        <v>70</v>
      </c>
    </row>
    <row r="61" spans="1:9" x14ac:dyDescent="0.25">
      <c r="A61" s="87" t="s">
        <v>51</v>
      </c>
      <c r="B61" s="139"/>
      <c r="C61" s="140"/>
      <c r="D61" s="175"/>
      <c r="E61" s="140"/>
      <c r="F61" s="140"/>
      <c r="G61" s="211"/>
      <c r="I61" s="133">
        <v>50</v>
      </c>
    </row>
    <row r="62" spans="1:9" x14ac:dyDescent="0.25">
      <c r="A62" s="44" t="s">
        <v>52</v>
      </c>
      <c r="B62" s="77"/>
      <c r="C62" s="77"/>
      <c r="D62" s="198"/>
      <c r="E62" s="77"/>
      <c r="F62" s="77"/>
      <c r="G62" s="212"/>
      <c r="I62" s="134">
        <v>40</v>
      </c>
    </row>
    <row r="63" spans="1:9" x14ac:dyDescent="0.25">
      <c r="A63" s="141" t="s">
        <v>56</v>
      </c>
      <c r="B63" s="142">
        <f>SUM(B57:B61)</f>
        <v>1</v>
      </c>
      <c r="C63" s="143">
        <f t="shared" ref="C63:G63" si="21">SUM(C57:C61)</f>
        <v>1</v>
      </c>
      <c r="D63" s="199">
        <f t="shared" si="21"/>
        <v>1</v>
      </c>
      <c r="E63" s="143">
        <f t="shared" si="21"/>
        <v>1</v>
      </c>
      <c r="F63" s="143">
        <f t="shared" si="21"/>
        <v>1</v>
      </c>
      <c r="G63" s="213">
        <f t="shared" si="21"/>
        <v>1</v>
      </c>
    </row>
    <row r="65" spans="8:10" x14ac:dyDescent="0.25">
      <c r="H65" s="55"/>
      <c r="I65" s="3"/>
      <c r="J65" s="28"/>
    </row>
    <row r="66" spans="8:10" x14ac:dyDescent="0.25">
      <c r="H66" s="5"/>
      <c r="I66" s="214"/>
      <c r="J66" s="28"/>
    </row>
    <row r="67" spans="8:10" x14ac:dyDescent="0.25">
      <c r="H67" s="3"/>
      <c r="I67" s="214"/>
      <c r="J67" s="28"/>
    </row>
    <row r="68" spans="8:10" x14ac:dyDescent="0.25">
      <c r="H68" s="3"/>
      <c r="I68" s="214"/>
      <c r="J68" s="28"/>
    </row>
    <row r="69" spans="8:10" x14ac:dyDescent="0.25">
      <c r="H69" s="3"/>
      <c r="I69" s="3"/>
      <c r="J69" s="28"/>
    </row>
  </sheetData>
  <pageMargins left="0.70866141732283472" right="0.70866141732283472" top="0.78740157480314965" bottom="0.78740157480314965" header="0.31496062992125984" footer="0.31496062992125984"/>
  <pageSetup paperSize="9" scale="82" fitToHeight="2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 SpDi KA 1-4 neu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2016-01-27T08:55:20Z</dcterms:modified>
</cp:coreProperties>
</file>